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rojections" sheetId="2" state="visible" r:id="rId4"/>
    <sheet name="Valu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<sst xmlns="http://schemas.openxmlformats.org/spreadsheetml/2006/main" count="138" uniqueCount="132">
  <si>
    <t xml:space="preserve">DCF VALUATION MODEL  —  ASSUMPTIONS</t>
  </si>
  <si>
    <t xml:space="preserve">Blue = hardcoded input   |   Change these cells to run scenarios</t>
  </si>
  <si>
    <t xml:space="preserve">  REVENUE &amp; MARGIN ASSUMPTIONS</t>
  </si>
  <si>
    <t xml:space="preserve">Base Revenue — Year 0 ($M)</t>
  </si>
  <si>
    <t xml:space="preserve">Starting revenue before any growth</t>
  </si>
  <si>
    <t xml:space="preserve">Revenue Growth Rate (Yr 1–3)</t>
  </si>
  <si>
    <t xml:space="preserve">Annual growth applied to years 1–3</t>
  </si>
  <si>
    <t xml:space="preserve">Revenue Growth Rate (Yr 4–5)</t>
  </si>
  <si>
    <t xml:space="preserve">Growth tapers in later years</t>
  </si>
  <si>
    <t xml:space="preserve">EBITDA Margin</t>
  </si>
  <si>
    <t xml:space="preserve">EBITDA as % of revenue</t>
  </si>
  <si>
    <t xml:space="preserve">D&amp;A (% of Revenue)</t>
  </si>
  <si>
    <t xml:space="preserve">Non-cash; added back to get FCF</t>
  </si>
  <si>
    <t xml:space="preserve">Tax Rate</t>
  </si>
  <si>
    <t xml:space="preserve">Effective corporate tax rate</t>
  </si>
  <si>
    <t xml:space="preserve">  CAPEX &amp; WORKING CAPITAL</t>
  </si>
  <si>
    <t xml:space="preserve">Capex (% of Revenue)</t>
  </si>
  <si>
    <t xml:space="preserve">Cash spent on long-term assets</t>
  </si>
  <si>
    <t xml:space="preserve">Change in NWC (% of Revenue)</t>
  </si>
  <si>
    <t xml:space="preserve">Cash tied up in operations as co. grows</t>
  </si>
  <si>
    <t xml:space="preserve">  DISCOUNT RATE &amp; TERMINAL VALUE</t>
  </si>
  <si>
    <t xml:space="preserve">WACC</t>
  </si>
  <si>
    <t xml:space="preserve">Weighted avg cost of capital — discount rate</t>
  </si>
  <si>
    <t xml:space="preserve">Terminal Growth Rate</t>
  </si>
  <si>
    <t xml:space="preserve">Perpetuity growth beyond Year 5 (~GDP)</t>
  </si>
  <si>
    <t xml:space="preserve">  CAPITAL STRUCTURE</t>
  </si>
  <si>
    <t xml:space="preserve">Net Debt ($M)</t>
  </si>
  <si>
    <t xml:space="preserve">Total debt minus cash (use negative for net cash)</t>
  </si>
  <si>
    <t xml:space="preserve">Shares Outstanding (M)</t>
  </si>
  <si>
    <t xml:space="preserve">Diluted share count in millions</t>
  </si>
  <si>
    <t xml:space="preserve">Current Share Price ($)</t>
  </si>
  <si>
    <t xml:space="preserve">Market price — used to calculate upside/downside</t>
  </si>
  <si>
    <t xml:space="preserve">CELL REFERENCE GUIDE</t>
  </si>
  <si>
    <t xml:space="preserve">B4</t>
  </si>
  <si>
    <t xml:space="preserve">Base Revenue ($M)</t>
  </si>
  <si>
    <t xml:space="preserve">B5</t>
  </si>
  <si>
    <t xml:space="preserve">Growth Yr1-3</t>
  </si>
  <si>
    <t xml:space="preserve">B6</t>
  </si>
  <si>
    <t xml:space="preserve">Growth Yr4-5</t>
  </si>
  <si>
    <t xml:space="preserve">B7</t>
  </si>
  <si>
    <t xml:space="preserve">B8</t>
  </si>
  <si>
    <t xml:space="preserve">D&amp;A %</t>
  </si>
  <si>
    <t xml:space="preserve">B9</t>
  </si>
  <si>
    <t xml:space="preserve">B11</t>
  </si>
  <si>
    <t xml:space="preserve">Capex %</t>
  </si>
  <si>
    <t xml:space="preserve">B12</t>
  </si>
  <si>
    <t xml:space="preserve">NWC %</t>
  </si>
  <si>
    <t xml:space="preserve">B14</t>
  </si>
  <si>
    <t xml:space="preserve">B15</t>
  </si>
  <si>
    <t xml:space="preserve">TGR</t>
  </si>
  <si>
    <t xml:space="preserve">B17</t>
  </si>
  <si>
    <t xml:space="preserve">Net Debt</t>
  </si>
  <si>
    <t xml:space="preserve">B18</t>
  </si>
  <si>
    <t xml:space="preserve">Shares</t>
  </si>
  <si>
    <t xml:space="preserve">B19</t>
  </si>
  <si>
    <t xml:space="preserve">Share Price</t>
  </si>
  <si>
    <t xml:space="preserve">DCF VALUATION MODEL  —  5-YEAR PROJECTIONS</t>
  </si>
  <si>
    <t xml:space="preserve">All figures in $M unless stated  |  Black = formula  |  Green = linked from Assumptions sheet</t>
  </si>
  <si>
    <t xml:space="preserve">Metric ($M)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</si>
  <si>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</si>
  <si>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</si>
  <si>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</si>
  <si>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</si>
  <si>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</si>
  <si>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  INCOME STATEMENT BUILD</t>
  </si>
  <si>
    <t xml:space="preserve">Revenue ($M)</t>
  </si>
  <si>
    <t xml:space="preserve">EBITDA</t>
  </si>
  <si>
    <t xml:space="preserve">  D&amp;A (non-cash expense)</t>
  </si>
  <si>
    <t xml:space="preserve">EBIT (Operating Profit)</t>
  </si>
  <si>
    <t xml:space="preserve">  FREE CASH FLOW BUILD</t>
  </si>
  <si>
    <t xml:space="preserve">NOPAT  [EBIT × (1 – Tax Rate)]</t>
  </si>
  <si>
    <t xml:space="preserve">  + D&amp;A Add-back</t>
  </si>
  <si>
    <t xml:space="preserve">  – Capex</t>
  </si>
  <si>
    <t xml:space="preserve">  – Change in NWC</t>
  </si>
  <si>
    <t xml:space="preserve">Unlevered Free Cash Flow</t>
  </si>
  <si>
    <t xml:space="preserve">  DISCOUNTING TO PRESENT VALUE</t>
  </si>
  <si>
    <t xml:space="preserve">Discount Factor  [1/(1+WACC)^Year]</t>
  </si>
  <si>
    <t xml:space="preserve">PV of Free Cash Flow</t>
  </si>
  <si>
    <t xml:space="preserve">  SUMMARY — PV OF FCFs</t>
  </si>
  <si>
    <t xml:space="preserve">Sum of PV of FCFs (Yr 1–5)</t>
  </si>
  <si>
    <t xml:space="preserve">DCF VALUATION MODEL  —  VALUATION BRIDGE &amp; SENSITIVITY</t>
  </si>
  <si>
    <t xml:space="preserve">Black = formula  |  Green = linked from other sheets</t>
  </si>
  <si>
    <t xml:space="preserve">  TERMINAL VALUE CALCULATION</t>
  </si>
  <si>
    <t xml:space="preserve">Year 5 FCF ($M)</t>
  </si>
  <si>
    <t xml:space="preserve">Final year free cash flow</t>
  </si>
  <si>
    <t xml:space="preserve">Terminal Growth Rate (g)</t>
  </si>
  <si>
    <t xml:space="preserve">Perpetuity growth rate</t>
  </si>
  <si>
    <t xml:space="preserve">Discount rate</t>
  </si>
  <si>
    <t xml:space="preserve">Terminal Value  [FCF×(1+g)/(WACC–g)]</t>
  </si>
  <si>
    <t xml:space="preserve">Gordon Growth Model</t>
  </si>
  <si>
    <t xml:space="preserve">PV of Terminal Value</t>
  </si>
  <si>
    <t xml:space="preserve">Discounted to today</t>
  </si>
  <si>
    <t xml:space="preserve">  ENTERPRISE VALUE BRIDGE</t>
  </si>
  <si>
    <t xml:space="preserve">PV of FCFs (Yr 1–5)</t>
  </si>
  <si>
    <t xml:space="preserve">Sum of discounted cash flows</t>
  </si>
  <si>
    <t xml:space="preserve">Linked from above</t>
  </si>
  <si>
    <t xml:space="preserve">Enterprise Value (EV)</t>
  </si>
  <si>
    <t xml:space="preserve">Total business value</t>
  </si>
  <si>
    <t xml:space="preserve">  EQUITY VALUE &amp; INTRINSIC SHARE PRICE</t>
  </si>
  <si>
    <t xml:space="preserve">Less: Net Debt ($M)</t>
  </si>
  <si>
    <t xml:space="preserve">Debt minus cash (negative = net cash)</t>
  </si>
  <si>
    <t xml:space="preserve">Equity Value ($M)</t>
  </si>
  <si>
    <t xml:space="preserve">What belongs to shareholders</t>
  </si>
  <si>
    <t xml:space="preserve">Diluted share count</t>
  </si>
  <si>
    <t xml:space="preserve">★  Intrinsic Value Per Share</t>
  </si>
  <si>
    <t xml:space="preserve">DCF fair value per share</t>
  </si>
  <si>
    <t xml:space="preserve">Current Market Price</t>
  </si>
  <si>
    <t xml:space="preserve">Share price you entered</t>
  </si>
  <si>
    <t xml:space="preserve">Implied Upside / (Downside)</t>
  </si>
  <si>
    <t xml:space="preserve">Positive = undervalued, Negative = overvalued</t>
  </si>
  <si>
    <t xml:space="preserve">Terminal Value as % of EV</t>
  </si>
  <si>
    <t xml:space="preserve">Healthy range: 60–80%</t>
  </si>
  <si>
    <t xml:space="preserve">  SENSITIVITY ANALYSIS — IMPLIED SHARE PRICE ($)</t>
  </si>
  <si>
    <t xml:space="preserve">WACC  ↓  /  Terminal Growth Rate  →</t>
  </si>
  <si>
    <t xml:space="preserve">1.0%</t>
  </si>
  <si>
    <t xml:space="preserve">1.5%</t>
  </si>
  <si>
    <t xml:space="preserve">2.0%</t>
  </si>
  <si>
    <t xml:space="preserve">2.5%</t>
  </si>
  <si>
    <t xml:space="preserve">3.0%</t>
  </si>
  <si>
    <t xml:space="preserve">3.5%</t>
  </si>
  <si>
    <t xml:space="preserve">4.0%</t>
  </si>
  <si>
    <t xml:space="preserve">7.0%</t>
  </si>
  <si>
    <t xml:space="preserve">8.0%</t>
  </si>
  <si>
    <t xml:space="preserve">9.0%</t>
  </si>
  <si>
    <t xml:space="preserve">10.0%</t>
  </si>
  <si>
    <t xml:space="preserve">11.0%</t>
  </si>
  <si>
    <t xml:space="preserve">12.0%</t>
  </si>
  <si>
    <t xml:space="preserve">13.0%</t>
  </si>
  <si>
    <t xml:space="preserve">■ Base case</t>
  </si>
  <si>
    <t xml:space="preserve">■ Higher value</t>
  </si>
  <si>
    <t xml:space="preserve">■ Lower value</t>
  </si>
  <si>
    <t xml:space="preserve">■ Mid range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</si>
</sst>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"/>
    <numFmt numFmtId="166" formatCode="0.0%"/>
    <numFmt numFmtId="167" formatCode="\$#,##0.0;&quot;($&quot;#,##0.0\);\-"/>
    <numFmt numFmtId="168" formatCode="0.000\x"/>
    <numFmt numFmtId="169" formatCode="General"/>
    <numFmt numFmtId="170" formatCode="\$#,##0.00"/>
    <numFmt numFmtId="171" formatCode="0.0%;\(0.0%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0EEFF"/>
      <name val="Arial"/>
      <family val="0"/>
      <charset val="1"/>
    </font>
    <font>
      <i val="true"/>
      <sz val="9"/>
      <color rgb="FF888899"/>
      <name val="Arial"/>
      <family val="0"/>
      <charset val="1"/>
    </font>
    <font>
      <b val="true"/>
      <sz val="9"/>
      <color rgb="FFF0EE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9"/>
      <color rgb="FF6C00FF"/>
      <name val="Arial"/>
      <family val="0"/>
      <charset val="1"/>
    </font>
    <font>
      <b val="true"/>
      <sz val="9"/>
      <color rgb="FF9F55FF"/>
      <name val="Courier New"/>
      <family val="0"/>
      <charset val="1"/>
    </font>
    <font>
      <sz val="9"/>
      <color rgb="FF888899"/>
      <name val="Arial"/>
      <family val="0"/>
      <charset val="1"/>
    </font>
    <font>
      <b val="true"/>
      <sz val="10"/>
      <color rgb="FFF0EEFF"/>
      <name val="Arial"/>
      <family val="0"/>
      <charset val="1"/>
    </font>
    <font>
      <b val="true"/>
      <sz val="8"/>
      <color rgb="FFF0EE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3"/>
      <color rgb="FF3D0099"/>
      <name val="Arial"/>
      <family val="0"/>
      <charset val="1"/>
    </font>
    <font>
      <b val="true"/>
      <sz val="9"/>
      <color rgb="FF3D0099"/>
      <name val="Arial"/>
      <family val="0"/>
      <charset val="1"/>
    </font>
    <font>
      <sz val="9"/>
      <color rgb="FF3D0099"/>
      <name val="Arial"/>
      <family val="0"/>
      <charset val="1"/>
    </font>
    <font>
      <sz val="9"/>
      <color rgb="FF8B0000"/>
      <name val="Arial"/>
      <family val="0"/>
      <charset val="1"/>
    </font>
    <font>
      <sz val="9"/>
      <color rgb="FF006B45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3D0099"/>
        <bgColor rgb="FF2D1060"/>
      </patternFill>
    </fill>
    <fill>
      <patternFill patternType="solid">
        <fgColor rgb="FF1E1032"/>
        <bgColor rgb="FF2D1060"/>
      </patternFill>
    </fill>
    <fill>
      <patternFill patternType="solid">
        <fgColor rgb="FF6C00FF"/>
        <bgColor rgb="FF3D0099"/>
      </patternFill>
    </fill>
    <fill>
      <patternFill patternType="solid">
        <fgColor rgb="FFF2F2F2"/>
        <bgColor rgb="FFF3EEFF"/>
      </patternFill>
    </fill>
    <fill>
      <patternFill patternType="solid">
        <fgColor rgb="FFFFFFFF"/>
        <bgColor rgb="FFF7F4FF"/>
      </patternFill>
    </fill>
    <fill>
      <patternFill patternType="solid">
        <fgColor rgb="FF2D1060"/>
        <bgColor rgb="FF1E1032"/>
      </patternFill>
    </fill>
    <fill>
      <patternFill patternType="solid">
        <fgColor rgb="FFF7F4FF"/>
        <bgColor rgb="FFF3EEFF"/>
      </patternFill>
    </fill>
    <fill>
      <patternFill patternType="solid">
        <fgColor rgb="FFEDE8FF"/>
        <bgColor rgb="FFF0EEFF"/>
      </patternFill>
    </fill>
    <fill>
      <patternFill patternType="solid">
        <fgColor rgb="FFD4BBFF"/>
        <bgColor rgb="FFC9A0FF"/>
      </patternFill>
    </fill>
    <fill>
      <patternFill patternType="solid">
        <fgColor rgb="FFF3EEFF"/>
        <bgColor rgb="FFF0EEFF"/>
      </patternFill>
    </fill>
    <fill>
      <patternFill patternType="solid">
        <fgColor rgb="FFC9A0FF"/>
        <bgColor rgb="FFD4BBFF"/>
      </patternFill>
    </fill>
    <fill>
      <patternFill patternType="solid">
        <fgColor rgb="FFFFF0F0"/>
        <bgColor rgb="FFF7F4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AAAAAA"/>
      </bottom>
      <diagonal/>
    </border>
    <border diagonalUp="false" diagonalDown="false">
      <left/>
      <right/>
      <top/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8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5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9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8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0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2D1060"/>
      <rgbColor rgb="FF808000"/>
      <rgbColor rgb="FF6C00FF"/>
      <rgbColor rgb="FF006B45"/>
      <rgbColor rgb="FFF3EEFF"/>
      <rgbColor rgb="FF888899"/>
      <rgbColor rgb="FF9999FF"/>
      <rgbColor rgb="FF993366"/>
      <rgbColor rgb="FFFFF0F0"/>
      <rgbColor rgb="FFF2F2F2"/>
      <rgbColor rgb="FF3D0099"/>
      <rgbColor rgb="FFFF8080"/>
      <rgbColor rgb="FF0066CC"/>
      <rgbColor rgb="FFD4BB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EFF"/>
      <rgbColor rgb="FFDDDDDD"/>
      <rgbColor rgb="FFF7F4FF"/>
      <rgbColor rgb="FF99CCFF"/>
      <rgbColor rgb="FFFF99CC"/>
      <rgbColor rgb="FFC9A0FF"/>
      <rgbColor rgb="FFEDE8FF"/>
      <rgbColor rgb="FF3366FF"/>
      <rgbColor rgb="FF00C980"/>
      <rgbColor rgb="FF99CC00"/>
      <rgbColor rgb="FFFFCC00"/>
      <rgbColor rgb="FFFF9900"/>
      <rgbColor rgb="FFFF6600"/>
      <rgbColor rgb="FF9F55FF"/>
      <rgbColor rgb="FFAAAAAA"/>
      <rgbColor rgb="FF003366"/>
      <rgbColor rgb="FF339966"/>
      <rgbColor rgb="FF003300"/>
      <rgbColor rgb="FF333300"/>
      <rgbColor rgb="FF993300"/>
      <rgbColor rgb="FF993366"/>
      <rgbColor rgb="FF333399"/>
      <rgbColor rgb="FF1E10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C00FF"/>
    <pageSetUpPr fitToPage="false"/>
  </sheetPr>
  <dimension ref="A1:C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  <col collapsed="false" customWidth="true" hidden="false" outlineLevel="0" max="3" min="3" style="0" width="28"/>
  </cols>
  <sheetData>
    <row r="1" customFormat="false" ht="30" hidden="false" customHeight="true" outlineLevel="0" collapsed="false">
      <c r="A1" s="1" t="s">
        <v>0</v>
      </c>
      <c r="B1" s="1"/>
      <c r="C1" s="1"/>
    </row>
    <row r="2" customFormat="false" ht="15.75" hidden="false" customHeight="true" outlineLevel="0" collapsed="false">
      <c r="A2" s="2" t="s">
        <v>1</v>
      </c>
      <c r="B2" s="2"/>
      <c r="C2" s="2"/>
    </row>
    <row r="3" customFormat="false" ht="18" hidden="false" customHeight="true" outlineLevel="0" collapsed="false">
      <c r="A3" s="3" t="s">
        <v>2</v>
      </c>
      <c r="B3" s="3"/>
      <c r="C3" s="3"/>
    </row>
    <row r="4" customFormat="false" ht="18" hidden="false" customHeight="true" outlineLevel="0" collapsed="false">
      <c r="A4" s="4" t="s">
        <v>3</v>
      </c>
      <c r="B4" s="5" t="n">
        <v>500</v>
      </c>
      <c r="C4" s="6" t="s">
        <v>4</v>
      </c>
    </row>
    <row r="5" customFormat="false" ht="18" hidden="false" customHeight="true" outlineLevel="0" collapsed="false">
      <c r="A5" s="4" t="s">
        <v>5</v>
      </c>
      <c r="B5" s="7" t="n">
        <v>0.12</v>
      </c>
      <c r="C5" s="6" t="s">
        <v>6</v>
      </c>
    </row>
    <row r="6" customFormat="false" ht="18" hidden="false" customHeight="true" outlineLevel="0" collapsed="false">
      <c r="A6" s="4" t="s">
        <v>7</v>
      </c>
      <c r="B6" s="7" t="n">
        <v>0.09</v>
      </c>
      <c r="C6" s="6" t="s">
        <v>8</v>
      </c>
    </row>
    <row r="7" customFormat="false" ht="18" hidden="false" customHeight="true" outlineLevel="0" collapsed="false">
      <c r="A7" s="4" t="s">
        <v>9</v>
      </c>
      <c r="B7" s="7" t="n">
        <v>0.22</v>
      </c>
      <c r="C7" s="6" t="s">
        <v>10</v>
      </c>
    </row>
    <row r="8" customFormat="false" ht="18" hidden="false" customHeight="true" outlineLevel="0" collapsed="false">
      <c r="A8" s="4" t="s">
        <v>11</v>
      </c>
      <c r="B8" s="7" t="n">
        <v>0.04</v>
      </c>
      <c r="C8" s="6" t="s">
        <v>12</v>
      </c>
    </row>
    <row r="9" customFormat="false" ht="18" hidden="false" customHeight="true" outlineLevel="0" collapsed="false">
      <c r="A9" s="4" t="s">
        <v>13</v>
      </c>
      <c r="B9" s="7" t="n">
        <v>0.21</v>
      </c>
      <c r="C9" s="6" t="s">
        <v>14</v>
      </c>
    </row>
    <row r="10" customFormat="false" ht="18" hidden="false" customHeight="true" outlineLevel="0" collapsed="false">
      <c r="A10" s="3" t="s">
        <v>15</v>
      </c>
      <c r="B10" s="3"/>
      <c r="C10" s="3"/>
    </row>
    <row r="11" customFormat="false" ht="18" hidden="false" customHeight="true" outlineLevel="0" collapsed="false">
      <c r="A11" s="4" t="s">
        <v>16</v>
      </c>
      <c r="B11" s="7" t="n">
        <v>0.05</v>
      </c>
      <c r="C11" s="6" t="s">
        <v>17</v>
      </c>
    </row>
    <row r="12" customFormat="false" ht="18" hidden="false" customHeight="true" outlineLevel="0" collapsed="false">
      <c r="A12" s="4" t="s">
        <v>18</v>
      </c>
      <c r="B12" s="7" t="n">
        <v>0.02</v>
      </c>
      <c r="C12" s="6" t="s">
        <v>19</v>
      </c>
    </row>
    <row r="13" customFormat="false" ht="18" hidden="false" customHeight="true" outlineLevel="0" collapsed="false">
      <c r="A13" s="3" t="s">
        <v>20</v>
      </c>
      <c r="B13" s="3"/>
      <c r="C13" s="3"/>
    </row>
    <row r="14" customFormat="false" ht="18" hidden="false" customHeight="true" outlineLevel="0" collapsed="false">
      <c r="A14" s="4" t="s">
        <v>21</v>
      </c>
      <c r="B14" s="7" t="n">
        <v>0.1</v>
      </c>
      <c r="C14" s="6" t="s">
        <v>22</v>
      </c>
    </row>
    <row r="15" customFormat="false" ht="18" hidden="false" customHeight="true" outlineLevel="0" collapsed="false">
      <c r="A15" s="4" t="s">
        <v>23</v>
      </c>
      <c r="B15" s="7" t="n">
        <v>0.025</v>
      </c>
      <c r="C15" s="6" t="s">
        <v>24</v>
      </c>
    </row>
    <row r="16" customFormat="false" ht="18" hidden="false" customHeight="true" outlineLevel="0" collapsed="false">
      <c r="A16" s="3" t="s">
        <v>25</v>
      </c>
      <c r="B16" s="3"/>
      <c r="C16" s="3"/>
    </row>
    <row r="17" customFormat="false" ht="18" hidden="false" customHeight="true" outlineLevel="0" collapsed="false">
      <c r="A17" s="4" t="s">
        <v>26</v>
      </c>
      <c r="B17" s="5" t="n">
        <v>200</v>
      </c>
      <c r="C17" s="6" t="s">
        <v>27</v>
      </c>
    </row>
    <row r="18" customFormat="false" ht="18" hidden="false" customHeight="true" outlineLevel="0" collapsed="false">
      <c r="A18" s="4" t="s">
        <v>28</v>
      </c>
      <c r="B18" s="8" t="n">
        <v>100</v>
      </c>
      <c r="C18" s="6" t="s">
        <v>29</v>
      </c>
    </row>
    <row r="19" customFormat="false" ht="18" hidden="false" customHeight="true" outlineLevel="0" collapsed="false">
      <c r="A19" s="4" t="s">
        <v>30</v>
      </c>
      <c r="B19" s="5" t="n">
        <v>45</v>
      </c>
      <c r="C19" s="6" t="s">
        <v>31</v>
      </c>
    </row>
    <row r="21" customFormat="false" ht="15" hidden="false" customHeight="false" outlineLevel="0" collapsed="false">
      <c r="A21" s="9" t="s">
        <v>32</v>
      </c>
    </row>
    <row r="22" customFormat="false" ht="15" hidden="false" customHeight="false" outlineLevel="0" collapsed="false">
      <c r="A22" s="10" t="s">
        <v>33</v>
      </c>
      <c r="B22" s="11" t="s">
        <v>34</v>
      </c>
    </row>
    <row r="23" customFormat="false" ht="15" hidden="false" customHeight="false" outlineLevel="0" collapsed="false">
      <c r="A23" s="10" t="s">
        <v>35</v>
      </c>
      <c r="B23" s="11" t="s">
        <v>36</v>
      </c>
    </row>
    <row r="24" customFormat="false" ht="15" hidden="false" customHeight="false" outlineLevel="0" collapsed="false">
      <c r="A24" s="10" t="s">
        <v>37</v>
      </c>
      <c r="B24" s="11" t="s">
        <v>38</v>
      </c>
    </row>
    <row r="25" customFormat="false" ht="15" hidden="false" customHeight="false" outlineLevel="0" collapsed="false">
      <c r="A25" s="10" t="s">
        <v>39</v>
      </c>
      <c r="B25" s="11" t="s">
        <v>9</v>
      </c>
    </row>
    <row r="26" customFormat="false" ht="15" hidden="false" customHeight="false" outlineLevel="0" collapsed="false">
      <c r="A26" s="10" t="s">
        <v>40</v>
      </c>
      <c r="B26" s="11" t="s">
        <v>41</v>
      </c>
    </row>
    <row r="27" customFormat="false" ht="15" hidden="false" customHeight="false" outlineLevel="0" collapsed="false">
      <c r="A27" s="10" t="s">
        <v>42</v>
      </c>
      <c r="B27" s="11" t="s">
        <v>13</v>
      </c>
    </row>
    <row r="28" customFormat="false" ht="15" hidden="false" customHeight="false" outlineLevel="0" collapsed="false">
      <c r="A28" s="10" t="s">
        <v>43</v>
      </c>
      <c r="B28" s="11" t="s">
        <v>44</v>
      </c>
    </row>
    <row r="29" customFormat="false" ht="15" hidden="false" customHeight="false" outlineLevel="0" collapsed="false">
      <c r="A29" s="10" t="s">
        <v>45</v>
      </c>
      <c r="B29" s="11" t="s">
        <v>46</v>
      </c>
    </row>
    <row r="30" customFormat="false" ht="15" hidden="false" customHeight="false" outlineLevel="0" collapsed="false">
      <c r="A30" s="10" t="s">
        <v>47</v>
      </c>
      <c r="B30" s="11" t="s">
        <v>21</v>
      </c>
    </row>
    <row r="31" customFormat="false" ht="15" hidden="false" customHeight="false" outlineLevel="0" collapsed="false">
      <c r="A31" s="10" t="s">
        <v>48</v>
      </c>
      <c r="B31" s="11" t="s">
        <v>49</v>
      </c>
    </row>
    <row r="32" customFormat="false" ht="15" hidden="false" customHeight="false" outlineLevel="0" collapsed="false">
      <c r="A32" s="10" t="s">
        <v>50</v>
      </c>
      <c r="B32" s="11" t="s">
        <v>51</v>
      </c>
    </row>
    <row r="33" customFormat="false" ht="15" hidden="false" customHeight="false" outlineLevel="0" collapsed="false">
      <c r="A33" s="10" t="s">
        <v>52</v>
      </c>
      <c r="B33" s="11" t="s">
        <v>53</v>
      </c>
    </row>
    <row r="34" customFormat="false" ht="15" hidden="false" customHeight="false" outlineLevel="0" collapsed="false">
      <c r="A34" s="10" t="s">
        <v>54</v>
      </c>
      <c r="B34" s="11" t="s">
        <v>55</v>
      </c>
    </row>
  </sheetData>
  <mergeCells count="6">
    <mergeCell ref="A1:C1"/>
    <mergeCell ref="A2:C2"/>
    <mergeCell ref="A3:C3"/>
    <mergeCell ref="A10:C10"/>
    <mergeCell ref="A13:C13"/>
    <mergeCell ref="A16:C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F55FF"/>
    <pageSetUpPr fitToPage="fals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7" min="2" style="0" width="14"/>
  </cols>
  <sheetData>
    <row r="1" customFormat="false" ht="30" hidden="false" customHeight="true" outlineLevel="0" collapsed="false">
      <c r="A1" s="1" t="s">
        <v>56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57</v>
      </c>
      <c r="B2" s="2"/>
      <c r="C2" s="2"/>
      <c r="D2" s="2"/>
      <c r="E2" s="2"/>
      <c r="F2" s="2"/>
      <c r="G2" s="2"/>
    </row>
    <row r="3" customFormat="false" ht="19.5" hidden="false" customHeight="true" outlineLevel="0" collapsed="false">
      <c r="A3" s="12" t="s">
        <v>58</v>
      </c>
      <c r="B3" s="13" t="s">
        <v>59</v>
      </c>
      <c r="C3" s="13" t="s">
        <v>60</v>
      </c>
      <c r="D3" s="13" t="s">
        <v>61</v>
      </c>
      <c r="E3" s="13" t="s">
        <v>62</v>
      </c>
      <c r="F3" s="13" t="s">
        <v>63</v>
      </c>
    </row>
    <row r="4" customFormat="false" ht="15" hidden="false" customHeight="true" outlineLevel="0" collapsed="false">
      <c r="A4" s="14" t="s">
        <v>64</v>
      </c>
      <c r="B4" s="14"/>
      <c r="C4" s="14"/>
      <c r="D4" s="14"/>
      <c r="E4" s="14"/>
      <c r="F4" s="14"/>
      <c r="G4" s="14"/>
    </row>
    <row r="5" customFormat="false" ht="16.5" hidden="false" customHeight="true" outlineLevel="0" collapsed="false">
      <c r="A5" s="15" t="s">
        <v>65</v>
      </c>
      <c r="B5" s="16" t="n">
        <f aca="false">Assumptions!B4*(1+Assumptions!B5)</f>
        <v>560</v>
      </c>
      <c r="C5" s="16" t="n">
        <f aca="false">B5*(1+Assumptions!B5)</f>
        <v>627.2</v>
      </c>
      <c r="D5" s="16" t="n">
        <f aca="false">C5*(1+Assumptions!B5)</f>
        <v>702.464</v>
      </c>
      <c r="E5" s="16" t="n">
        <f aca="false">D5*(1+Assumptions!B6)</f>
        <v>765.68576</v>
      </c>
      <c r="F5" s="16" t="n">
        <f aca="false">E5*(1+Assumptions!B6)</f>
        <v>834.5974784</v>
      </c>
    </row>
    <row r="6" customFormat="false" ht="16.5" hidden="false" customHeight="true" outlineLevel="0" collapsed="false">
      <c r="A6" s="17" t="s">
        <v>66</v>
      </c>
      <c r="B6" s="18" t="n">
        <f aca="false">B5*Assumptions!B7</f>
        <v>123.2</v>
      </c>
      <c r="C6" s="18" t="n">
        <f aca="false">C5*Assumptions!B7</f>
        <v>137.984</v>
      </c>
      <c r="D6" s="18" t="n">
        <f aca="false">D5*Assumptions!B7</f>
        <v>154.54208</v>
      </c>
      <c r="E6" s="18" t="n">
        <f aca="false">E5*Assumptions!B7</f>
        <v>168.4508672</v>
      </c>
      <c r="F6" s="18" t="n">
        <f aca="false">F5*Assumptions!B7</f>
        <v>183.611445248</v>
      </c>
    </row>
    <row r="7" customFormat="false" ht="16.5" hidden="false" customHeight="true" outlineLevel="0" collapsed="false">
      <c r="A7" s="17" t="s">
        <v>67</v>
      </c>
      <c r="B7" s="18" t="n">
        <f aca="false">B5*Assumptions!B8</f>
        <v>22.4</v>
      </c>
      <c r="C7" s="18" t="n">
        <f aca="false">C5*Assumptions!B8</f>
        <v>25.088</v>
      </c>
      <c r="D7" s="18" t="n">
        <f aca="false">D5*Assumptions!B8</f>
        <v>28.09856</v>
      </c>
      <c r="E7" s="18" t="n">
        <f aca="false">E5*Assumptions!B8</f>
        <v>30.6274304</v>
      </c>
      <c r="F7" s="18" t="n">
        <f aca="false">F5*Assumptions!B8</f>
        <v>33.383899136</v>
      </c>
    </row>
    <row r="8" customFormat="false" ht="16.5" hidden="false" customHeight="true" outlineLevel="0" collapsed="false">
      <c r="A8" s="19" t="s">
        <v>68</v>
      </c>
      <c r="B8" s="20" t="n">
        <f aca="false">B6-B7</f>
        <v>100.8</v>
      </c>
      <c r="C8" s="20" t="n">
        <f aca="false">C6-C7</f>
        <v>112.896</v>
      </c>
      <c r="D8" s="20" t="n">
        <f aca="false">D6-D7</f>
        <v>126.44352</v>
      </c>
      <c r="E8" s="20" t="n">
        <f aca="false">E6-E7</f>
        <v>137.8234368</v>
      </c>
      <c r="F8" s="20" t="n">
        <f aca="false">F6-F7</f>
        <v>150.227546112</v>
      </c>
    </row>
    <row r="9" customFormat="false" ht="15" hidden="false" customHeight="true" outlineLevel="0" collapsed="false">
      <c r="A9" s="14" t="s">
        <v>69</v>
      </c>
      <c r="B9" s="14"/>
      <c r="C9" s="14"/>
      <c r="D9" s="14"/>
      <c r="E9" s="14"/>
      <c r="F9" s="14"/>
      <c r="G9" s="14"/>
    </row>
    <row r="10" customFormat="false" ht="16.5" hidden="false" customHeight="true" outlineLevel="0" collapsed="false">
      <c r="A10" s="17" t="s">
        <v>70</v>
      </c>
      <c r="B10" s="18" t="n">
        <f aca="false">B8*(1-Assumptions!B9)</f>
        <v>79.632</v>
      </c>
      <c r="C10" s="18" t="n">
        <f aca="false">C8*(1-Assumptions!B9)</f>
        <v>89.18784</v>
      </c>
      <c r="D10" s="18" t="n">
        <f aca="false">D8*(1-Assumptions!B9)</f>
        <v>99.8903808</v>
      </c>
      <c r="E10" s="18" t="n">
        <f aca="false">E8*(1-Assumptions!B9)</f>
        <v>108.880515072</v>
      </c>
      <c r="F10" s="18" t="n">
        <f aca="false">F8*(1-Assumptions!B9)</f>
        <v>118.67976142848</v>
      </c>
    </row>
    <row r="11" customFormat="false" ht="16.5" hidden="false" customHeight="true" outlineLevel="0" collapsed="false">
      <c r="A11" s="21" t="s">
        <v>71</v>
      </c>
      <c r="B11" s="18" t="n">
        <f aca="false">B7</f>
        <v>22.4</v>
      </c>
      <c r="C11" s="18" t="n">
        <f aca="false">C7</f>
        <v>25.088</v>
      </c>
      <c r="D11" s="18" t="n">
        <f aca="false">D7</f>
        <v>28.09856</v>
      </c>
      <c r="E11" s="18" t="n">
        <f aca="false">E7</f>
        <v>30.6274304</v>
      </c>
      <c r="F11" s="18" t="n">
        <f aca="false">F7</f>
        <v>33.383899136</v>
      </c>
    </row>
    <row r="12" customFormat="false" ht="16.5" hidden="false" customHeight="true" outlineLevel="0" collapsed="false">
      <c r="A12" s="21" t="s">
        <v>72</v>
      </c>
      <c r="B12" s="18" t="n">
        <f aca="false">-B5*Assumptions!B11</f>
        <v>-28</v>
      </c>
      <c r="C12" s="18" t="n">
        <f aca="false">-C5*Assumptions!B11</f>
        <v>-31.36</v>
      </c>
      <c r="D12" s="18" t="n">
        <f aca="false">-D5*Assumptions!B11</f>
        <v>-35.1232</v>
      </c>
      <c r="E12" s="18" t="n">
        <f aca="false">-E5*Assumptions!B11</f>
        <v>-38.284288</v>
      </c>
      <c r="F12" s="18" t="n">
        <f aca="false">-F5*Assumptions!B11</f>
        <v>-41.72987392</v>
      </c>
    </row>
    <row r="13" customFormat="false" ht="16.5" hidden="false" customHeight="true" outlineLevel="0" collapsed="false">
      <c r="A13" s="21" t="s">
        <v>73</v>
      </c>
      <c r="B13" s="18" t="n">
        <f aca="false">-B5*Assumptions!B12</f>
        <v>-11.2</v>
      </c>
      <c r="C13" s="18" t="n">
        <f aca="false">-C5*Assumptions!B12</f>
        <v>-12.544</v>
      </c>
      <c r="D13" s="18" t="n">
        <f aca="false">-D5*Assumptions!B12</f>
        <v>-14.04928</v>
      </c>
      <c r="E13" s="18" t="n">
        <f aca="false">-E5*Assumptions!B12</f>
        <v>-15.3137152</v>
      </c>
      <c r="F13" s="18" t="n">
        <f aca="false">-F5*Assumptions!B12</f>
        <v>-16.691949568</v>
      </c>
    </row>
    <row r="14" customFormat="false" ht="16.5" hidden="false" customHeight="true" outlineLevel="0" collapsed="false">
      <c r="A14" s="19" t="s">
        <v>74</v>
      </c>
      <c r="B14" s="20" t="n">
        <f aca="false">B10+B11+B12+B13</f>
        <v>62.832</v>
      </c>
      <c r="C14" s="20" t="n">
        <f aca="false">C10+C11+C12+C13</f>
        <v>70.37184</v>
      </c>
      <c r="D14" s="20" t="n">
        <f aca="false">D10+D11+D12+D13</f>
        <v>78.8164608</v>
      </c>
      <c r="E14" s="20" t="n">
        <f aca="false">E10+E11+E12+E13</f>
        <v>85.909942272</v>
      </c>
      <c r="F14" s="20" t="n">
        <f aca="false">F10+F11+F12+F13</f>
        <v>93.64183707648</v>
      </c>
    </row>
    <row r="15" customFormat="false" ht="15" hidden="false" customHeight="true" outlineLevel="0" collapsed="false">
      <c r="A15" s="14" t="s">
        <v>75</v>
      </c>
      <c r="B15" s="14"/>
      <c r="C15" s="14"/>
      <c r="D15" s="14"/>
      <c r="E15" s="14"/>
      <c r="F15" s="14"/>
      <c r="G15" s="14"/>
    </row>
    <row r="16" customFormat="false" ht="16.5" hidden="false" customHeight="true" outlineLevel="0" collapsed="false">
      <c r="A16" s="17" t="s">
        <v>76</v>
      </c>
      <c r="B16" s="22" t="n">
        <f aca="false">1/(1+Assumptions!B14)^1</f>
        <v>0.909090909090909</v>
      </c>
      <c r="C16" s="22" t="n">
        <f aca="false">1/(1+Assumptions!B14)^2</f>
        <v>0.826446280991735</v>
      </c>
      <c r="D16" s="22" t="n">
        <f aca="false">1/(1+Assumptions!B14)^3</f>
        <v>0.751314800901578</v>
      </c>
      <c r="E16" s="22" t="n">
        <f aca="false">1/(1+Assumptions!B14)^4</f>
        <v>0.683013455365071</v>
      </c>
      <c r="F16" s="22" t="n">
        <f aca="false">1/(1+Assumptions!B14)^5</f>
        <v>0.620921323059155</v>
      </c>
    </row>
    <row r="17" customFormat="false" ht="16.5" hidden="false" customHeight="true" outlineLevel="0" collapsed="false">
      <c r="A17" s="19" t="s">
        <v>77</v>
      </c>
      <c r="B17" s="20" t="n">
        <f aca="false">B14*B16</f>
        <v>57.12</v>
      </c>
      <c r="C17" s="20" t="n">
        <f aca="false">C14*C16</f>
        <v>58.1585454545455</v>
      </c>
      <c r="D17" s="20" t="n">
        <f aca="false">D14*D16</f>
        <v>59.215973553719</v>
      </c>
      <c r="E17" s="20" t="n">
        <f aca="false">E14*E16</f>
        <v>58.6776465214125</v>
      </c>
      <c r="F17" s="20" t="n">
        <f aca="false">F14*F16</f>
        <v>58.1442133712178</v>
      </c>
    </row>
    <row r="19" customFormat="false" ht="15" hidden="false" customHeight="true" outlineLevel="0" collapsed="false">
      <c r="A19" s="14" t="s">
        <v>78</v>
      </c>
      <c r="B19" s="14"/>
      <c r="C19" s="14"/>
      <c r="D19" s="14"/>
      <c r="E19" s="14"/>
      <c r="F19" s="14"/>
      <c r="G19" s="14"/>
    </row>
    <row r="20" customFormat="false" ht="15" hidden="false" customHeight="false" outlineLevel="0" collapsed="false">
      <c r="A20" s="23" t="s">
        <v>79</v>
      </c>
      <c r="B20" s="23"/>
      <c r="C20" s="23"/>
      <c r="D20" s="23"/>
      <c r="E20" s="23"/>
      <c r="F20" s="24" t="n">
        <f aca="false">SUM(B17:F17)</f>
        <v>291.316378900895</v>
      </c>
    </row>
  </sheetData>
  <mergeCells count="7">
    <mergeCell ref="A1:G1"/>
    <mergeCell ref="A2:G2"/>
    <mergeCell ref="A4:G4"/>
    <mergeCell ref="A9:G9"/>
    <mergeCell ref="A15:G15"/>
    <mergeCell ref="A19:G19"/>
    <mergeCell ref="A20:E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980"/>
    <pageSetUpPr fitToPage="false"/>
  </sheetPr>
  <dimension ref="A1:I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20"/>
    <col collapsed="false" customWidth="true" hidden="false" outlineLevel="0" max="11" min="4" style="0" width="12"/>
  </cols>
  <sheetData>
    <row r="1" customFormat="false" ht="30" hidden="false" customHeight="true" outlineLevel="0" collapsed="false">
      <c r="A1" s="1" t="s">
        <v>80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true" outlineLevel="0" collapsed="false">
      <c r="A2" s="2" t="s">
        <v>81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5" t="s">
        <v>82</v>
      </c>
      <c r="B3" s="25"/>
      <c r="C3" s="25"/>
    </row>
    <row r="4" customFormat="false" ht="18" hidden="false" customHeight="true" outlineLevel="0" collapsed="false">
      <c r="A4" s="26" t="s">
        <v>83</v>
      </c>
      <c r="B4" s="27" t="n">
        <f aca="false">Projections!F14</f>
        <v>93.64183707648</v>
      </c>
      <c r="C4" s="28" t="s">
        <v>84</v>
      </c>
    </row>
    <row r="5" customFormat="false" ht="18" hidden="false" customHeight="true" outlineLevel="0" collapsed="false">
      <c r="A5" s="26" t="s">
        <v>85</v>
      </c>
      <c r="B5" s="29" t="n">
        <f aca="false">Assumptions!B15</f>
        <v>0.025</v>
      </c>
      <c r="C5" s="28" t="s">
        <v>86</v>
      </c>
    </row>
    <row r="6" customFormat="false" ht="18" hidden="false" customHeight="true" outlineLevel="0" collapsed="false">
      <c r="A6" s="26" t="s">
        <v>21</v>
      </c>
      <c r="B6" s="29" t="n">
        <f aca="false">Assumptions!B14</f>
        <v>0.1</v>
      </c>
      <c r="C6" s="28" t="s">
        <v>87</v>
      </c>
    </row>
    <row r="7" customFormat="false" ht="18" hidden="false" customHeight="true" outlineLevel="0" collapsed="false">
      <c r="A7" s="30" t="s">
        <v>88</v>
      </c>
      <c r="B7" s="31" t="n">
        <f aca="false">Projections!F14*(1+Assumptions!B15)/(Assumptions!B14-Assumptions!B15)</f>
        <v>1279.77177337856</v>
      </c>
      <c r="C7" s="28" t="s">
        <v>89</v>
      </c>
    </row>
    <row r="8" customFormat="false" ht="18" hidden="false" customHeight="true" outlineLevel="0" collapsed="false">
      <c r="A8" s="32" t="s">
        <v>90</v>
      </c>
      <c r="B8" s="33" t="n">
        <f aca="false">B7/(1+Assumptions!B14)^5</f>
        <v>794.637582739976</v>
      </c>
      <c r="C8" s="34" t="s">
        <v>91</v>
      </c>
    </row>
    <row r="9" customFormat="false" ht="15" hidden="false" customHeight="true" outlineLevel="0" collapsed="false">
      <c r="A9" s="25" t="s">
        <v>92</v>
      </c>
      <c r="B9" s="25"/>
      <c r="C9" s="25"/>
    </row>
    <row r="10" customFormat="false" ht="18" hidden="false" customHeight="true" outlineLevel="0" collapsed="false">
      <c r="A10" s="26" t="s">
        <v>93</v>
      </c>
      <c r="B10" s="27" t="n">
        <f aca="false">Projections!F20</f>
        <v>291.316378900895</v>
      </c>
      <c r="C10" s="28" t="s">
        <v>94</v>
      </c>
    </row>
    <row r="11" customFormat="false" ht="18" hidden="false" customHeight="true" outlineLevel="0" collapsed="false">
      <c r="A11" s="26" t="s">
        <v>90</v>
      </c>
      <c r="B11" s="27" t="n">
        <f aca="false">B8</f>
        <v>794.637582739976</v>
      </c>
      <c r="C11" s="28" t="s">
        <v>95</v>
      </c>
    </row>
    <row r="12" customFormat="false" ht="18" hidden="false" customHeight="true" outlineLevel="0" collapsed="false">
      <c r="A12" s="32" t="s">
        <v>96</v>
      </c>
      <c r="B12" s="33" t="n">
        <f aca="false">B10+B11</f>
        <v>1085.95396164087</v>
      </c>
      <c r="C12" s="34" t="s">
        <v>97</v>
      </c>
    </row>
    <row r="13" customFormat="false" ht="15" hidden="false" customHeight="true" outlineLevel="0" collapsed="false">
      <c r="A13" s="25" t="s">
        <v>98</v>
      </c>
      <c r="B13" s="25"/>
      <c r="C13" s="25"/>
    </row>
    <row r="14" customFormat="false" ht="18" hidden="false" customHeight="true" outlineLevel="0" collapsed="false">
      <c r="A14" s="26" t="s">
        <v>99</v>
      </c>
      <c r="B14" s="27" t="n">
        <f aca="false">Assumptions!B17</f>
        <v>200</v>
      </c>
      <c r="C14" s="28" t="s">
        <v>100</v>
      </c>
    </row>
    <row r="15" customFormat="false" ht="18" hidden="false" customHeight="true" outlineLevel="0" collapsed="false">
      <c r="A15" s="30" t="s">
        <v>101</v>
      </c>
      <c r="B15" s="31" t="n">
        <f aca="false">B12-B14</f>
        <v>885.953961640871</v>
      </c>
      <c r="C15" s="28" t="s">
        <v>102</v>
      </c>
    </row>
    <row r="16" customFormat="false" ht="18" hidden="false" customHeight="true" outlineLevel="0" collapsed="false">
      <c r="A16" s="26" t="s">
        <v>28</v>
      </c>
      <c r="B16" s="35" t="n">
        <f aca="false">Assumptions!B18</f>
        <v>100</v>
      </c>
      <c r="C16" s="28" t="s">
        <v>103</v>
      </c>
    </row>
    <row r="17" customFormat="false" ht="18" hidden="false" customHeight="true" outlineLevel="0" collapsed="false">
      <c r="A17" s="36" t="s">
        <v>104</v>
      </c>
      <c r="B17" s="37" t="n">
        <f aca="false">B15/B16</f>
        <v>8.85953961640871</v>
      </c>
      <c r="C17" s="38" t="s">
        <v>105</v>
      </c>
    </row>
    <row r="18" customFormat="false" ht="18" hidden="false" customHeight="true" outlineLevel="0" collapsed="false">
      <c r="A18" s="26" t="s">
        <v>106</v>
      </c>
      <c r="B18" s="27" t="n">
        <f aca="false">Assumptions!B19</f>
        <v>45</v>
      </c>
      <c r="C18" s="28" t="s">
        <v>107</v>
      </c>
    </row>
    <row r="19" customFormat="false" ht="18" hidden="false" customHeight="true" outlineLevel="0" collapsed="false">
      <c r="A19" s="32" t="s">
        <v>108</v>
      </c>
      <c r="B19" s="39" t="n">
        <f aca="false">(B17-B18)/B18</f>
        <v>-0.803121341857584</v>
      </c>
      <c r="C19" s="34" t="s">
        <v>109</v>
      </c>
    </row>
    <row r="20" customFormat="false" ht="18" hidden="false" customHeight="true" outlineLevel="0" collapsed="false">
      <c r="A20" s="26" t="s">
        <v>110</v>
      </c>
      <c r="B20" s="40" t="n">
        <f aca="false">B8/B12</f>
        <v>0.731741501766136</v>
      </c>
      <c r="C20" s="28" t="s">
        <v>111</v>
      </c>
    </row>
    <row r="23" customFormat="false" ht="15" hidden="false" customHeight="true" outlineLevel="0" collapsed="false">
      <c r="A23" s="25" t="s">
        <v>112</v>
      </c>
      <c r="B23" s="25"/>
      <c r="C23" s="25"/>
    </row>
    <row r="24" customFormat="false" ht="15.75" hidden="false" customHeight="true" outlineLevel="0" collapsed="false">
      <c r="A24" s="41" t="s">
        <v>113</v>
      </c>
      <c r="C24" s="42" t="s">
        <v>114</v>
      </c>
      <c r="D24" s="42" t="s">
        <v>115</v>
      </c>
      <c r="E24" s="42" t="s">
        <v>116</v>
      </c>
      <c r="F24" s="42" t="s">
        <v>117</v>
      </c>
      <c r="G24" s="42" t="s">
        <v>118</v>
      </c>
      <c r="H24" s="42" t="s">
        <v>119</v>
      </c>
      <c r="I24" s="42" t="s">
        <v>120</v>
      </c>
    </row>
    <row r="25" customFormat="false" ht="18" hidden="false" customHeight="true" outlineLevel="0" collapsed="false">
      <c r="A25" s="43"/>
      <c r="B25" s="44" t="s">
        <v>121</v>
      </c>
      <c r="C25" s="45" t="n">
        <f aca="false">(((Projections!B14/(1+0.07)^1+Projections!C14/(1+0.07)^2+Projections!D14/(1+0.07)^3+Projections!E14/(1+0.07)^4+Projections!F14/(1+0.07)^5)+((Projections!F14*(1+0.01)/(0.07-0.01))/(1+0.07)^5))-Assumptions!B17)/Assumptions!B18</f>
        <v>12.4071346488764</v>
      </c>
      <c r="D25" s="45" t="n">
        <f aca="false">(((Projections!B14/(1+0.07)^1+Projections!C14/(1+0.07)^2+Projections!D14/(1+0.07)^3+Projections!E14/(1+0.07)^4+Projections!F14/(1+0.07)^5)+((Projections!F14*(1+0.015)/(0.07-0.015))/(1+0.07)^5))-Assumptions!B17)/Assumptions!B18</f>
        <v>13.4895423633155</v>
      </c>
      <c r="E25" s="45" t="n">
        <f aca="false">(((Projections!B14/(1+0.07)^1+Projections!C14/(1+0.07)^2+Projections!D14/(1+0.07)^3+Projections!E14/(1+0.07)^4+Projections!F14/(1+0.07)^5)+((Projections!F14*(1+0.02)/(0.07-0.02))/(1+0.07)^5))-Assumptions!B17)/Assumptions!B18</f>
        <v>14.7884316206425</v>
      </c>
      <c r="F25" s="45" t="n">
        <f aca="false">(((Projections!B14/(1+0.07)^1+Projections!C14/(1+0.07)^2+Projections!D14/(1+0.07)^3+Projections!E14/(1+0.07)^4+Projections!F14/(1+0.07)^5)+((Projections!F14*(1+0.025)/(0.07-0.025))/(1+0.07)^5))-Assumptions!B17)/Assumptions!B18</f>
        <v>16.3759629351532</v>
      </c>
      <c r="G25" s="45" t="n">
        <f aca="false">(((Projections!B14/(1+0.07)^1+Projections!C14/(1+0.07)^2+Projections!D14/(1+0.07)^3+Projections!E14/(1+0.07)^4+Projections!F14/(1+0.07)^5)+((Projections!F14*(1+0.03)/(0.07-0.03))/(1+0.07)^5))-Assumptions!B17)/Assumptions!B18</f>
        <v>18.3603770782915</v>
      </c>
      <c r="H25" s="45" t="n">
        <f aca="false">(((Projections!B14/(1+0.07)^1+Projections!C14/(1+0.07)^2+Projections!D14/(1+0.07)^3+Projections!E14/(1+0.07)^4+Projections!F14/(1+0.07)^5)+((Projections!F14*(1+0.035)/(0.07-0.035))/(1+0.07)^5))-Assumptions!B17)/Assumptions!B18</f>
        <v>20.911766690898</v>
      </c>
      <c r="I25" s="45" t="n">
        <f aca="false">(((Projections!B14/(1+0.07)^1+Projections!C14/(1+0.07)^2+Projections!D14/(1+0.07)^3+Projections!E14/(1+0.07)^4+Projections!F14/(1+0.07)^5)+((Projections!F14*(1+0.04)/(0.07-0.04))/(1+0.07)^5))-Assumptions!B17)/Assumptions!B18</f>
        <v>24.3136195077066</v>
      </c>
    </row>
    <row r="26" customFormat="false" ht="18" hidden="false" customHeight="true" outlineLevel="0" collapsed="false">
      <c r="A26" s="43"/>
      <c r="B26" s="44" t="s">
        <v>122</v>
      </c>
      <c r="C26" s="45" t="n">
        <f aca="false">(((Projections!B14/(1+0.08)^1+Projections!C14/(1+0.08)^2+Projections!D14/(1+0.08)^3+Projections!E14/(1+0.08)^4+Projections!F14/(1+0.08)^5)+((Projections!F14*(1+0.01)/(0.08-0.01))/(1+0.08)^5))-Assumptions!B17)/Assumptions!B18</f>
        <v>10.275029325927</v>
      </c>
      <c r="D26" s="45" t="n">
        <f aca="false">(((Projections!B14/(1+0.08)^1+Projections!C14/(1+0.08)^2+Projections!D14/(1+0.08)^3+Projections!E14/(1+0.08)^4+Projections!F14/(1+0.08)^5)+((Projections!F14*(1+0.015)/(0.08-0.015))/(1+0.08)^5))-Assumptions!B17)/Assumptions!B18</f>
        <v>11.0313979602338</v>
      </c>
      <c r="E26" s="45" t="n">
        <f aca="false">(((Projections!B14/(1+0.08)^1+Projections!C14/(1+0.08)^2+Projections!D14/(1+0.08)^3+Projections!E14/(1+0.08)^4+Projections!F14/(1+0.08)^5)+((Projections!F14*(1+0.02)/(0.08-0.02))/(1+0.08)^5))-Assumptions!B17)/Assumptions!B18</f>
        <v>11.9138280335917</v>
      </c>
      <c r="F26" s="45" t="n">
        <f aca="false">(((Projections!B14/(1+0.08)^1+Projections!C14/(1+0.08)^2+Projections!D14/(1+0.08)^3+Projections!E14/(1+0.08)^4+Projections!F14/(1+0.08)^5)+((Projections!F14*(1+0.025)/(0.08-0.025))/(1+0.08)^5))-Assumptions!B17)/Assumptions!B18</f>
        <v>12.9566999384692</v>
      </c>
      <c r="G26" s="45" t="n">
        <f aca="false">(((Projections!B14/(1+0.08)^1+Projections!C14/(1+0.08)^2+Projections!D14/(1+0.08)^3+Projections!E14/(1+0.08)^4+Projections!F14/(1+0.08)^5)+((Projections!F14*(1+0.03)/(0.08-0.03))/(1+0.08)^5))-Assumptions!B17)/Assumptions!B18</f>
        <v>14.2081462243222</v>
      </c>
      <c r="H26" s="45" t="n">
        <f aca="false">(((Projections!B14/(1+0.08)^1+Projections!C14/(1+0.08)^2+Projections!D14/(1+0.08)^3+Projections!E14/(1+0.08)^4+Projections!F14/(1+0.08)^5)+((Projections!F14*(1+0.035)/(0.08-0.035))/(1+0.08)^5))-Assumptions!B17)/Assumptions!B18</f>
        <v>15.7376916848092</v>
      </c>
      <c r="I26" s="45" t="n">
        <f aca="false">(((Projections!B14/(1+0.08)^1+Projections!C14/(1+0.08)^2+Projections!D14/(1+0.08)^3+Projections!E14/(1+0.08)^4+Projections!F14/(1+0.08)^5)+((Projections!F14*(1+0.04)/(0.08-0.04))/(1+0.08)^5))-Assumptions!B17)/Assumptions!B18</f>
        <v>17.6496235104179</v>
      </c>
    </row>
    <row r="27" customFormat="false" ht="18" hidden="false" customHeight="true" outlineLevel="0" collapsed="false">
      <c r="A27" s="43"/>
      <c r="B27" s="44" t="s">
        <v>123</v>
      </c>
      <c r="C27" s="45" t="n">
        <f aca="false">(((Projections!B14/(1+0.09)^1+Projections!C14/(1+0.09)^2+Projections!D14/(1+0.09)^3+Projections!E14/(1+0.09)^4+Projections!F14/(1+0.09)^5)+((Projections!F14*(1+0.01)/(0.09-0.01))/(1+0.09)^5))-Assumptions!B17)/Assumptions!B18</f>
        <v>8.6782412193086</v>
      </c>
      <c r="D27" s="45" t="n">
        <f aca="false">(((Projections!B14/(1+0.09)^1+Projections!C14/(1+0.09)^2+Projections!D14/(1+0.09)^3+Projections!E14/(1+0.09)^4+Projections!F14/(1+0.09)^5)+((Projections!F14*(1+0.015)/(0.09-0.015))/(1+0.09)^5))-Assumptions!B17)/Assumptions!B18</f>
        <v>9.23105987093725</v>
      </c>
      <c r="E27" s="45" t="n">
        <f aca="false">(((Projections!B14/(1+0.09)^1+Projections!C14/(1+0.09)^2+Projections!D14/(1+0.09)^3+Projections!E14/(1+0.09)^4+Projections!F14/(1+0.09)^5)+((Projections!F14*(1+0.02)/(0.09-0.02))/(1+0.09)^5))-Assumptions!B17)/Assumptions!B18</f>
        <v>9.86285261565571</v>
      </c>
      <c r="F27" s="45" t="n">
        <f aca="false">(((Projections!B14/(1+0.09)^1+Projections!C14/(1+0.09)^2+Projections!D14/(1+0.09)^3+Projections!E14/(1+0.09)^4+Projections!F14/(1+0.09)^5)+((Projections!F14*(1+0.025)/(0.09-0.025))/(1+0.09)^5))-Assumptions!B17)/Assumptions!B18</f>
        <v>10.591844244177</v>
      </c>
      <c r="G27" s="45" t="n">
        <f aca="false">(((Projections!B14/(1+0.09)^1+Projections!C14/(1+0.09)^2+Projections!D14/(1+0.09)^3+Projections!E14/(1+0.09)^4+Projections!F14/(1+0.09)^5)+((Projections!F14*(1+0.03)/(0.09-0.03))/(1+0.09)^5))-Assumptions!B17)/Assumptions!B18</f>
        <v>11.4423344774519</v>
      </c>
      <c r="H27" s="45" t="n">
        <f aca="false">(((Projections!B14/(1+0.09)^1+Projections!C14/(1+0.09)^2+Projections!D14/(1+0.09)^3+Projections!E14/(1+0.09)^4+Projections!F14/(1+0.09)^5)+((Projections!F14*(1+0.035)/(0.09-0.035))/(1+0.09)^5))-Assumptions!B17)/Assumptions!B18</f>
        <v>12.4474592985949</v>
      </c>
      <c r="I27" s="45" t="n">
        <f aca="false">(((Projections!B14/(1+0.09)^1+Projections!C14/(1+0.09)^2+Projections!D14/(1+0.09)^3+Projections!E14/(1+0.09)^4+Projections!F14/(1+0.09)^5)+((Projections!F14*(1+0.04)/(0.09-0.04))/(1+0.09)^5))-Assumptions!B17)/Assumptions!B18</f>
        <v>13.6536090839665</v>
      </c>
    </row>
    <row r="28" customFormat="false" ht="18" hidden="false" customHeight="true" outlineLevel="0" collapsed="false">
      <c r="A28" s="43"/>
      <c r="B28" s="44" t="s">
        <v>124</v>
      </c>
      <c r="C28" s="45" t="n">
        <f aca="false">(((Projections!B14/(1+0.1)^1+Projections!C14/(1+0.1)^2+Projections!D14/(1+0.1)^3+Projections!E14/(1+0.1)^4+Projections!F14/(1+0.1)^5)+((Projections!F14*(1+0.01)/(0.1-0.01))/(1+0.1)^5))-Assumptions!B17)/Assumptions!B18</f>
        <v>7.43823662289005</v>
      </c>
      <c r="D28" s="45" t="n">
        <f aca="false">(((Projections!B14/(1+0.1)^1+Projections!C14/(1+0.1)^2+Projections!D14/(1+0.1)^3+Projections!E14/(1+0.1)^4+Projections!F14/(1+0.1)^5)+((Projections!F14*(1+0.015)/(0.1-0.015))/(1+0.1)^5))-Assumptions!B17)/Assumptions!B18</f>
        <v>7.85626691510142</v>
      </c>
      <c r="E28" s="45" t="n">
        <f aca="false">(((Projections!B14/(1+0.1)^1+Projections!C14/(1+0.1)^2+Projections!D14/(1+0.1)^3+Projections!E14/(1+0.1)^4+Projections!F14/(1+0.1)^5)+((Projections!F14*(1+0.02)/(0.1-0.02))/(1+0.1)^5))-Assumptions!B17)/Assumptions!B18</f>
        <v>8.32655099383922</v>
      </c>
      <c r="F28" s="46" t="n">
        <f aca="false">(((Projections!B14/(1+0.1)^1+Projections!C14/(1+0.1)^2+Projections!D14/(1+0.1)^3+Projections!E14/(1+0.1)^4+Projections!F14/(1+0.1)^5)+((Projections!F14*(1+0.025)/(0.1-0.025))/(1+0.1)^5))-Assumptions!B17)/Assumptions!B18</f>
        <v>8.85953961640871</v>
      </c>
      <c r="G28" s="46" t="n">
        <f aca="false">(((Projections!B14/(1+0.1)^1+Projections!C14/(1+0.1)^2+Projections!D14/(1+0.1)^3+Projections!E14/(1+0.1)^4+Projections!F14/(1+0.1)^5)+((Projections!F14*(1+0.03)/(0.1-0.03))/(1+0.1)^5))-Assumptions!B17)/Assumptions!B18</f>
        <v>9.46866947077385</v>
      </c>
      <c r="H28" s="45" t="n">
        <f aca="false">(((Projections!B14/(1+0.1)^1+Projections!C14/(1+0.1)^2+Projections!D14/(1+0.1)^3+Projections!E14/(1+0.1)^4+Projections!F14/(1+0.1)^5)+((Projections!F14*(1+0.035)/(0.1-0.035))/(1+0.1)^5))-Assumptions!B17)/Assumptions!B18</f>
        <v>10.1715116104259</v>
      </c>
      <c r="I28" s="45" t="n">
        <f aca="false">(((Projections!B14/(1+0.1)^1+Projections!C14/(1+0.1)^2+Projections!D14/(1+0.1)^3+Projections!E14/(1+0.1)^4+Projections!F14/(1+0.1)^5)+((Projections!F14*(1+0.04)/(0.1-0.04))/(1+0.1)^5))-Assumptions!B17)/Assumptions!B18</f>
        <v>10.9914941066867</v>
      </c>
    </row>
    <row r="29" customFormat="false" ht="18" hidden="false" customHeight="true" outlineLevel="0" collapsed="false">
      <c r="A29" s="43"/>
      <c r="B29" s="44" t="s">
        <v>125</v>
      </c>
      <c r="C29" s="45" t="n">
        <f aca="false">(((Projections!B14/(1+0.11)^1+Projections!C14/(1+0.11)^2+Projections!D14/(1+0.11)^3+Projections!E14/(1+0.11)^4+Projections!F14/(1+0.11)^5)+((Projections!F14*(1+0.01)/(0.11-0.01))/(1+0.11)^5))-Assumptions!B17)/Assumptions!B18</f>
        <v>6.44790011802417</v>
      </c>
      <c r="D29" s="45" t="n">
        <f aca="false">(((Projections!B14/(1+0.11)^1+Projections!C14/(1+0.11)^2+Projections!D14/(1+0.11)^3+Projections!E14/(1+0.11)^4+Projections!F14/(1+0.11)^5)+((Projections!F14*(1+0.015)/(0.11-0.015))/(1+0.11)^5))-Assumptions!B17)/Assumptions!B18</f>
        <v>6.77255684727741</v>
      </c>
      <c r="E29" s="45" t="n">
        <f aca="false">(((Projections!B14/(1+0.11)^1+Projections!C14/(1+0.11)^2+Projections!D14/(1+0.11)^3+Projections!E14/(1+0.11)^4+Projections!F14/(1+0.11)^5)+((Projections!F14*(1+0.02)/(0.11-0.02))/(1+0.11)^5))-Assumptions!B17)/Assumptions!B18</f>
        <v>7.13328654644769</v>
      </c>
      <c r="F29" s="45" t="n">
        <f aca="false">(((Projections!B14/(1+0.11)^1+Projections!C14/(1+0.11)^2+Projections!D14/(1+0.11)^3+Projections!E14/(1+0.11)^4+Projections!F14/(1+0.11)^5)+((Projections!F14*(1+0.025)/(0.11-0.025))/(1+0.11)^5))-Assumptions!B17)/Assumptions!B18</f>
        <v>7.53645503375565</v>
      </c>
      <c r="G29" s="45" t="n">
        <f aca="false">(((Projections!B14/(1+0.11)^1+Projections!C14/(1+0.11)^2+Projections!D14/(1+0.11)^3+Projections!E14/(1+0.11)^4+Projections!F14/(1+0.11)^5)+((Projections!F14*(1+0.03)/(0.11-0.03))/(1+0.11)^5))-Assumptions!B17)/Assumptions!B18</f>
        <v>7.99001958197709</v>
      </c>
      <c r="H29" s="45" t="n">
        <f aca="false">(((Projections!B14/(1+0.11)^1+Projections!C14/(1+0.11)^2+Projections!D14/(1+0.11)^3+Projections!E14/(1+0.11)^4+Projections!F14/(1+0.11)^5)+((Projections!F14*(1+0.035)/(0.11-0.035))/(1+0.11)^5))-Assumptions!B17)/Assumptions!B18</f>
        <v>8.50405940329473</v>
      </c>
      <c r="I29" s="45" t="n">
        <f aca="false">(((Projections!B14/(1+0.11)^1+Projections!C14/(1+0.11)^2+Projections!D14/(1+0.11)^3+Projections!E14/(1+0.11)^4+Projections!F14/(1+0.11)^5)+((Projections!F14*(1+0.04)/(0.11-0.04))/(1+0.11)^5))-Assumptions!B17)/Assumptions!B18</f>
        <v>9.09153348480061</v>
      </c>
    </row>
    <row r="30" customFormat="false" ht="18" hidden="false" customHeight="true" outlineLevel="0" collapsed="false">
      <c r="A30" s="43"/>
      <c r="B30" s="44" t="s">
        <v>126</v>
      </c>
      <c r="C30" s="47" t="n">
        <f aca="false">(((Projections!B14/(1+0.12)^1+Projections!C14/(1+0.12)^2+Projections!D14/(1+0.12)^3+Projections!E14/(1+0.12)^4+Projections!F14/(1+0.12)^5)+((Projections!F14*(1+0.01)/(0.12-0.01))/(1+0.12)^5))-Assumptions!B17)/Assumptions!B18</f>
        <v>5.63907142857143</v>
      </c>
      <c r="D30" s="47" t="n">
        <f aca="false">(((Projections!B14/(1+0.12)^1+Projections!C14/(1+0.12)^2+Projections!D14/(1+0.12)^3+Projections!E14/(1+0.12)^4+Projections!F14/(1+0.12)^5)+((Projections!F14*(1+0.015)/(0.12-0.015))/(1+0.12)^5))-Assumptions!B17)/Assumptions!B18</f>
        <v>5.89669515306122</v>
      </c>
      <c r="E30" s="47" t="n">
        <f aca="false">(((Projections!B14/(1+0.12)^1+Projections!C14/(1+0.12)^2+Projections!D14/(1+0.12)^3+Projections!E14/(1+0.12)^4+Projections!F14/(1+0.12)^5)+((Projections!F14*(1+0.02)/(0.12-0.02))/(1+0.12)^5))-Assumptions!B17)/Assumptions!B18</f>
        <v>6.18008125</v>
      </c>
      <c r="F30" s="47" t="n">
        <f aca="false">(((Projections!B14/(1+0.12)^1+Projections!C14/(1+0.12)^2+Projections!D14/(1+0.12)^3+Projections!E14/(1+0.12)^4+Projections!F14/(1+0.12)^5)+((Projections!F14*(1+0.025)/(0.12-0.025))/(1+0.12)^5))-Assumptions!B17)/Assumptions!B18</f>
        <v>6.49329746240601</v>
      </c>
      <c r="G30" s="47" t="n">
        <f aca="false">(((Projections!B14/(1+0.12)^1+Projections!C14/(1+0.12)^2+Projections!D14/(1+0.12)^3+Projections!E14/(1+0.12)^4+Projections!F14/(1+0.12)^5)+((Projections!F14*(1+0.03)/(0.12-0.03))/(1+0.12)^5))-Assumptions!B17)/Assumptions!B18</f>
        <v>6.84131547619047</v>
      </c>
      <c r="H30" s="47" t="n">
        <f aca="false">(((Projections!B14/(1+0.12)^1+Projections!C14/(1+0.12)^2+Projections!D14/(1+0.12)^3+Projections!E14/(1+0.12)^4+Projections!F14/(1+0.12)^5)+((Projections!F14*(1+0.035)/(0.12-0.035))/(1+0.12)^5))-Assumptions!B17)/Assumptions!B18</f>
        <v>7.23027678571428</v>
      </c>
      <c r="I30" s="47" t="n">
        <f aca="false">(((Projections!B14/(1+0.12)^1+Projections!C14/(1+0.12)^2+Projections!D14/(1+0.12)^3+Projections!E14/(1+0.12)^4+Projections!F14/(1+0.12)^5)+((Projections!F14*(1+0.04)/(0.12-0.04))/(1+0.12)^5))-Assumptions!B17)/Assumptions!B18</f>
        <v>7.66785825892857</v>
      </c>
    </row>
    <row r="31" customFormat="false" ht="18" hidden="false" customHeight="true" outlineLevel="0" collapsed="false">
      <c r="A31" s="43"/>
      <c r="B31" s="44" t="s">
        <v>127</v>
      </c>
      <c r="C31" s="47" t="n">
        <f aca="false">(((Projections!B14/(1+0.13)^1+Projections!C14/(1+0.13)^2+Projections!D14/(1+0.13)^3+Projections!E14/(1+0.13)^4+Projections!F14/(1+0.13)^5)+((Projections!F14*(1+0.01)/(0.13-0.01))/(1+0.13)^5))-Assumptions!B17)/Assumptions!B18</f>
        <v>4.96631386803004</v>
      </c>
      <c r="D31" s="47" t="n">
        <f aca="false">(((Projections!B14/(1+0.13)^1+Projections!C14/(1+0.13)^2+Projections!D14/(1+0.13)^3+Projections!E14/(1+0.13)^4+Projections!F14/(1+0.13)^5)+((Projections!F14*(1+0.015)/(0.13-0.015))/(1+0.13)^5))-Assumptions!B17)/Assumptions!B18</f>
        <v>5.17440188387535</v>
      </c>
      <c r="E31" s="47" t="n">
        <f aca="false">(((Projections!B14/(1+0.13)^1+Projections!C14/(1+0.13)^2+Projections!D14/(1+0.13)^3+Projections!E14/(1+0.13)^4+Projections!F14/(1+0.13)^5)+((Projections!F14*(1+0.02)/(0.13-0.02))/(1+0.13)^5))-Assumptions!B17)/Assumptions!B18</f>
        <v>5.40140699207024</v>
      </c>
      <c r="F31" s="47" t="n">
        <f aca="false">(((Projections!B14/(1+0.13)^1+Projections!C14/(1+0.13)^2+Projections!D14/(1+0.13)^3+Projections!E14/(1+0.13)^4+Projections!F14/(1+0.13)^5)+((Projections!F14*(1+0.025)/(0.13-0.025))/(1+0.13)^5))-Assumptions!B17)/Assumptions!B18</f>
        <v>5.65003163437892</v>
      </c>
      <c r="G31" s="47" t="n">
        <f aca="false">(((Projections!B14/(1+0.13)^1+Projections!C14/(1+0.13)^2+Projections!D14/(1+0.13)^3+Projections!E14/(1+0.13)^4+Projections!F14/(1+0.13)^5)+((Projections!F14*(1+0.03)/(0.13-0.03))/(1+0.13)^5))-Assumptions!B17)/Assumptions!B18</f>
        <v>5.92351874091848</v>
      </c>
      <c r="H31" s="47" t="n">
        <f aca="false">(((Projections!B14/(1+0.13)^1+Projections!C14/(1+0.13)^2+Projections!D14/(1+0.13)^3+Projections!E14/(1+0.13)^4+Projections!F14/(1+0.13)^5)+((Projections!F14*(1+0.035)/(0.13-0.035))/(1+0.13)^5))-Assumptions!B17)/Assumptions!B18</f>
        <v>6.22579396393588</v>
      </c>
      <c r="I31" s="47" t="n">
        <f aca="false">(((Projections!B14/(1+0.13)^1+Projections!C14/(1+0.13)^2+Projections!D14/(1+0.13)^3+Projections!E14/(1+0.13)^4+Projections!F14/(1+0.13)^5)+((Projections!F14*(1+0.04)/(0.13-0.04))/(1+0.13)^5))-Assumptions!B17)/Assumptions!B18</f>
        <v>6.5616553228441</v>
      </c>
    </row>
    <row r="33" customFormat="false" ht="15" hidden="false" customHeight="false" outlineLevel="0" collapsed="false">
      <c r="B33" s="48" t="s">
        <v>128</v>
      </c>
      <c r="C33" s="49" t="s">
        <v>129</v>
      </c>
      <c r="D33" s="50" t="s">
        <v>130</v>
      </c>
      <c r="E33" s="51" t="s">
        <v>131</v>
      </c>
    </row>
  </sheetData>
  <mergeCells count="6">
    <mergeCell ref="A1:I1"/>
    <mergeCell ref="A2:I2"/>
    <mergeCell ref="A3:C3"/>
    <mergeCell ref="A9:C9"/>
    <mergeCell ref="A13:C13"/>
    <mergeCell ref="A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2026-05-20T05:02:02Z</dcterms:created>
  <dc:creator>openpyxl</dc:creator>
  <dc:description/>
  <dc:language>en-US</dc:language>
  <cp:lastModifiedBy/>
  <dcterms:modified xsi:type="dcterms:W3CDTF">2026-05-20T05:02:02Z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